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-2" sheetId="5" r:id="rId5"/>
    <sheet name="січень 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<sst xmlns="http://schemas.openxmlformats.org/spreadsheetml/2006/main" count="985" uniqueCount="275">
  <si>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</si>
  <si>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</si>
  <si>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</si>
  <si>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</si>
  <si>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</si>
  <si>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</si>
  <si>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</si>
  <si>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</si>
  <si>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</si>
  <si>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</si>
  <si>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</si>
  <si>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</si>
  <si>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</si>
  <si>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</si>
  <si>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</si>
  <si>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</si>
  <si>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</si>
  <si>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</si>
  <si>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</si>
  <si>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</si>
  <si>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</si>
  <si>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</si>
  <si>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</si>
  <si>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</si>
  <si>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</si>
  <si>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</si>
  <si>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</si>
  <si>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</si>
  <si>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</si>
  <si>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</si>
  <si>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</si>
  <si>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</si>
  <si>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</si>
  <si>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</si>
  <si>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</si>
  <si>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</si>
  <si>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</si>
  <si>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</si>
  <si>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</si>
  <si>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</si>
  <si>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</si>
  <si>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</si>
  <si>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</si>
  <si>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</si>
  <si>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</si>
  <si>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</si>
  <si>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</si>
  <si>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</si>
  <si>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</si>
  <si>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</si>
  <si>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</si>
  <si>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</si>
  <si>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</si>
  <si>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</si>
  <si>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</si>
  <si>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</si>
  <si>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</si>
  <si>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</si>
  <si>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</si>
  <si>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</si>
  <si>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</si>
  <si>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</si>
  <si>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</si>
  <si>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</si>
  <si>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</si>
  <si>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</si>
  <si>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</si>
  <si>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</si>
  <si>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</si>
  <si>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</si>
  <si>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</si>
  <si>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</si>
  <si>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</si>
  <si>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</si>
  <si>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</si>
  <si>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</si>
  <si>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</si>
  <si>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</si>
  <si>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</si>
  <si>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</si>
  <si>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</si>
  <si>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</si>
  <si>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</si>
  <si>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</si>
  <si>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</si>
  <si>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</si>
  <si>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</si>
  <si>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</si>
  <si>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</si>
  <si>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</si>
  <si>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</si>
  <si>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</si>
  <si>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</si>
  <si>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</si>
  <si>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</si>
  <si>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</si>
  <si>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</si>
  <si>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</si>
  <si>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</si>
  <si>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</si>
  <si>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</si>
  <si>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</si>
  <si>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</si>
  <si>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</si>
  <si>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</si>
  <si>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</si>
  <si>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</si>
  <si>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</si>
  <si>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</si>
  <si>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</si>
  <si>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</si>
  <si>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</si>
  <si>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</si>
  <si>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</si>
  <si>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</si>
  <si>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</si>
  <si>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</si>
  <si>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</si>
  <si>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</si>
  <si>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</si>
  <si>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</si>
  <si>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</si>
  <si>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</si>
  <si>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</si>
  <si>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</si>
  <si>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</si>
  <si>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</si>
  <si>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</si>
  <si>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</si>
  <si>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</si>
  <si>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</si>
  <si>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</si>
  <si>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</si>
  <si>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</si>
  <si>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</si>
  <si>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</si>
  <si>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</si>
  <si>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</si>
  <si>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</si>
  <si>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</si>
  <si>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</si>
  <si>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</si>
  <si>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</si>
  <si>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</si>
  <si>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</si>
  <si>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</si>
  <si>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</si>
  <si>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</si>
  <si>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</si>
  <si>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</si>
  <si>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</si>
  <si>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</si>
  <si>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</si>
  <si>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</si>
  <si>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</si>
  <si>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</si>
  <si>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</si>
  <si>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</si>
  <si>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</si>
  <si>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</si>
  <si>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</si>
  <si>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</si>
  <si>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</si>
  <si>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</si>
  <si>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</si>
  <si>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</si>
  <si>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</si>
  <si>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</si>
  <si>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</si>
  <si>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</si>
  <si>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</si>
  <si>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</si>
  <si>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</si>
  <si>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</si>
  <si>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</si>
  <si>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</si>
  <si>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</si>
  <si>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</si>
  <si>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</si>
  <si>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</si>
  <si>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</si>
  <si>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</si>
  <si>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</si>
  <si>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</si>
  <si>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</si>
  <si>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</si>
  <si>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</si>
  <si>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</si>
  <si>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</si>
  <si>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</si>
  <si>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</si>
  <si>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</si>
  <si>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</si>
  <si>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</si>
  <si>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</si>
  <si>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</si>
  <si>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</si>
  <si>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</si>
  <si>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</si>
  <si>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</si>
  <si>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</si>
  <si>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</si>
  <si>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</si>
  <si>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</si>
  <si>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</si>
  <si>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</si>
  <si>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</si>
  <si>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</si>
  <si>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</si>
  <si>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</si>
  <si>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</si>
  <si>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</si>
  <si>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</si>
  <si>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</si>
  <si>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</si>
  <si>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</si>
  <si>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</si>
  <si>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</si>
  <si>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</si>
  <si>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</si>
  <si>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</si>
  <si>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</si>
  <si>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</si>
  <si>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</si>
  <si>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</si>
  <si>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</si>
  <si>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</si>
  <si>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</si>
  <si>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</si>
  <si>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</si>
  <si>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</si>
  <si>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</si>
  <si>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</si>
  <si>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</si>
  <si>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</si>
  <si>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</si>
  <si>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</si>
  <si>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</si>
  <si>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</si>
  <si>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</si>
  <si>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</si>
  <si>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</si>
  <si>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</si>
  <si>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</si>
  <si>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</si>
  <si>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</si>
  <si>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</si>
  <si>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</si>
  <si>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</si>
  <si>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</si>
  <si>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</si>
  <si>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</si>
  <si>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</si>
  <si>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</si>
  <si>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</si>
  <si>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</si>
  <si>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</si>
  <si>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</si>
  <si>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</si>
  <si>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</si>
  <si>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</si>
  <si>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</si>
  <si>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</si>
  <si>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</si>
  <si>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</si>
  <si>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</si>
  <si>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</si>
  <si>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</si>
  <si>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</si>
  <si>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</si>
  <si>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</si>
  <si>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</si>
  <si>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</si>
  <si>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28.05.2015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</si>
  <si>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27.05.15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</si>
</sst>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81" sqref="I81:I8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273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266</v>
      </c>
      <c r="N3" s="218" t="s">
        <v>267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262</v>
      </c>
      <c r="F4" s="223" t="s">
        <v>116</v>
      </c>
      <c r="G4" s="225" t="s">
        <v>263</v>
      </c>
      <c r="H4" s="227" t="s">
        <v>264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274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265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240564.61</v>
      </c>
      <c r="G8" s="18">
        <f aca="true" t="shared" si="0" ref="G8:G32">F8-E8</f>
        <v>17038.910000000003</v>
      </c>
      <c r="H8" s="45">
        <f>F8/E8*100</f>
        <v>107.62279684170547</v>
      </c>
      <c r="I8" s="31">
        <f aca="true" t="shared" si="1" ref="I8:I32">F8-D8</f>
        <v>-276864.39</v>
      </c>
      <c r="J8" s="31">
        <f aca="true" t="shared" si="2" ref="J8:J14">F8/D8*100</f>
        <v>46.49229362869109</v>
      </c>
      <c r="K8" s="18">
        <f>K9+K15+K18+K19+K20+K32</f>
        <v>44915.69000000002</v>
      </c>
      <c r="L8" s="18"/>
      <c r="M8" s="18">
        <f>M9+M15+M18+M19+M20+M32+M17</f>
        <v>46130.770000000004</v>
      </c>
      <c r="N8" s="18">
        <f>N9+N15+N18+N19+N20+N32+N17</f>
        <v>42027.460000000014</v>
      </c>
      <c r="O8" s="31">
        <f aca="true" t="shared" si="3" ref="O8:O32">N8-M8</f>
        <v>-4103.30999999999</v>
      </c>
      <c r="P8" s="31">
        <f>F8/M8*100</f>
        <v>521.484055002767</v>
      </c>
      <c r="Q8" s="31">
        <f>N8-33748.16</f>
        <v>8279.30000000001</v>
      </c>
      <c r="R8" s="125">
        <f>N8/33748.16</f>
        <v>1.2453259674008896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133410.98</v>
      </c>
      <c r="G9" s="43">
        <f t="shared" si="0"/>
        <v>5598.330000000016</v>
      </c>
      <c r="H9" s="35">
        <f aca="true" t="shared" si="4" ref="H9:H32">F9/E9*100</f>
        <v>104.38010635097545</v>
      </c>
      <c r="I9" s="50">
        <f t="shared" si="1"/>
        <v>-179279.02</v>
      </c>
      <c r="J9" s="50">
        <f t="shared" si="2"/>
        <v>42.66557293165756</v>
      </c>
      <c r="K9" s="132">
        <f>F9-148760.15/75*60</f>
        <v>14402.860000000015</v>
      </c>
      <c r="L9" s="132">
        <f>F9/(148760.15/75*60)*100</f>
        <v>112.10241788543507</v>
      </c>
      <c r="M9" s="35">
        <f>E9-квітень!E10</f>
        <v>26164.67</v>
      </c>
      <c r="N9" s="35">
        <f>F9-квітень!F10</f>
        <v>22645.330000000016</v>
      </c>
      <c r="O9" s="47">
        <f t="shared" si="3"/>
        <v>-3519.339999999982</v>
      </c>
      <c r="P9" s="50">
        <f aca="true" t="shared" si="5" ref="P9:P32">N9/M9*100</f>
        <v>86.54926662556805</v>
      </c>
      <c r="Q9" s="132">
        <f>N9-26568.11</f>
        <v>-3922.7799999999843</v>
      </c>
      <c r="R9" s="133">
        <f>N9/26568.11</f>
        <v>0.8523500542567769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117641.05</v>
      </c>
      <c r="G10" s="135">
        <f t="shared" si="0"/>
        <v>5018.800000000003</v>
      </c>
      <c r="H10" s="137">
        <f t="shared" si="4"/>
        <v>104.45631302873099</v>
      </c>
      <c r="I10" s="136">
        <f t="shared" si="1"/>
        <v>-122768.95</v>
      </c>
      <c r="J10" s="136">
        <f t="shared" si="2"/>
        <v>48.933509421405105</v>
      </c>
      <c r="K10" s="138">
        <f>F10-134812.74/75*60</f>
        <v>9790.858000000007</v>
      </c>
      <c r="L10" s="138">
        <f>F10/(134812.74/75*60)*100</f>
        <v>109.07820173375306</v>
      </c>
      <c r="M10" s="137">
        <f>E10-квітень!E11</f>
        <v>23050.67</v>
      </c>
      <c r="N10" s="137">
        <f>F10-квітень!F11</f>
        <v>19289.740000000005</v>
      </c>
      <c r="O10" s="138">
        <f t="shared" si="3"/>
        <v>-3760.929999999993</v>
      </c>
      <c r="P10" s="136">
        <f t="shared" si="5"/>
        <v>83.68407512666663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7751.35</v>
      </c>
      <c r="G11" s="135">
        <f t="shared" si="0"/>
        <v>-1206.6499999999996</v>
      </c>
      <c r="H11" s="137">
        <f t="shared" si="4"/>
        <v>86.52991739227507</v>
      </c>
      <c r="I11" s="136">
        <f t="shared" si="1"/>
        <v>-15948.65</v>
      </c>
      <c r="J11" s="136">
        <f t="shared" si="2"/>
        <v>32.70611814345992</v>
      </c>
      <c r="K11" s="138">
        <f>F11-9052.89/75*60</f>
        <v>509.03800000000047</v>
      </c>
      <c r="L11" s="138">
        <f>F11/(9052.89/75*60)*100</f>
        <v>107.02866708863137</v>
      </c>
      <c r="M11" s="137">
        <f>E11-квітень!E12</f>
        <v>2010</v>
      </c>
      <c r="N11" s="137">
        <f>F11-квітень!F12</f>
        <v>1449.8900000000003</v>
      </c>
      <c r="O11" s="138">
        <f t="shared" si="3"/>
        <v>-560.1099999999997</v>
      </c>
      <c r="P11" s="136">
        <f t="shared" si="5"/>
        <v>72.13383084577116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2113.69</v>
      </c>
      <c r="G12" s="135">
        <f t="shared" si="0"/>
        <v>-55.309999999999945</v>
      </c>
      <c r="H12" s="137">
        <f t="shared" si="4"/>
        <v>97.44997694790226</v>
      </c>
      <c r="I12" s="136">
        <f t="shared" si="1"/>
        <v>-3686.31</v>
      </c>
      <c r="J12" s="136">
        <f t="shared" si="2"/>
        <v>36.44293103448276</v>
      </c>
      <c r="K12" s="138">
        <f>F12-2098.76/75*60</f>
        <v>434.682</v>
      </c>
      <c r="L12" s="138">
        <f>F12/(2098.76/75*60)*100</f>
        <v>125.88921553679316</v>
      </c>
      <c r="M12" s="137">
        <f>E12-квітень!E13</f>
        <v>450</v>
      </c>
      <c r="N12" s="137">
        <f>F12-квітень!F13</f>
        <v>395.45000000000005</v>
      </c>
      <c r="O12" s="138">
        <f t="shared" si="3"/>
        <v>-54.549999999999955</v>
      </c>
      <c r="P12" s="136">
        <f t="shared" si="5"/>
        <v>87.8777777777778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2260.24</v>
      </c>
      <c r="G13" s="135">
        <f t="shared" si="0"/>
        <v>-159.1600000000003</v>
      </c>
      <c r="H13" s="137">
        <f t="shared" si="4"/>
        <v>93.42150946515663</v>
      </c>
      <c r="I13" s="136">
        <f t="shared" si="1"/>
        <v>-6139.76</v>
      </c>
      <c r="J13" s="136">
        <f t="shared" si="2"/>
        <v>26.907619047619047</v>
      </c>
      <c r="K13" s="138">
        <f>F13-2795.76/75*60</f>
        <v>23.631999999999607</v>
      </c>
      <c r="L13" s="138">
        <f>F13/(2795.76/75*60)*100</f>
        <v>101.05659999427704</v>
      </c>
      <c r="M13" s="137">
        <f>E13-квітень!E14</f>
        <v>264</v>
      </c>
      <c r="N13" s="137">
        <f>F13-квітень!F14</f>
        <v>597.4699999999998</v>
      </c>
      <c r="O13" s="138">
        <f t="shared" si="3"/>
        <v>333.4699999999998</v>
      </c>
      <c r="P13" s="136">
        <f t="shared" si="5"/>
        <v>226.31439393939385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19459.69</v>
      </c>
      <c r="G19" s="43">
        <f t="shared" si="0"/>
        <v>3676.9399999999987</v>
      </c>
      <c r="H19" s="35">
        <f t="shared" si="4"/>
        <v>123.29720739414867</v>
      </c>
      <c r="I19" s="50">
        <f t="shared" si="1"/>
        <v>-10490.310000000001</v>
      </c>
      <c r="J19" s="178">
        <f>F19/D19*100</f>
        <v>64.97392320534223</v>
      </c>
      <c r="K19" s="179">
        <f>F19-0</f>
        <v>19459.69</v>
      </c>
      <c r="L19" s="180"/>
      <c r="M19" s="35">
        <f>E19-квітень!E34</f>
        <v>3120</v>
      </c>
      <c r="N19" s="35">
        <f>F19-квітень!F34</f>
        <v>3102.069999999998</v>
      </c>
      <c r="O19" s="47">
        <f t="shared" si="3"/>
        <v>-17.93000000000211</v>
      </c>
      <c r="P19" s="50">
        <f t="shared" si="5"/>
        <v>99.42532051282045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84539.14</v>
      </c>
      <c r="G20" s="43">
        <f t="shared" si="0"/>
        <v>8787.539999999994</v>
      </c>
      <c r="H20" s="35">
        <f t="shared" si="4"/>
        <v>111.6004678449036</v>
      </c>
      <c r="I20" s="50">
        <f t="shared" si="1"/>
        <v>-82230.86</v>
      </c>
      <c r="J20" s="178">
        <f aca="true" t="shared" si="6" ref="J20:J32">F20/D20*100</f>
        <v>50.69205492594592</v>
      </c>
      <c r="K20" s="178">
        <f>K21+K25+K26+K27</f>
        <v>13839.580000000002</v>
      </c>
      <c r="L20" s="136"/>
      <c r="M20" s="35">
        <f>E20-квітень!E35</f>
        <v>14846.100000000006</v>
      </c>
      <c r="N20" s="35">
        <f>F20-квітень!F35</f>
        <v>14245</v>
      </c>
      <c r="O20" s="47">
        <f t="shared" si="3"/>
        <v>-601.1000000000058</v>
      </c>
      <c r="P20" s="50">
        <f t="shared" si="5"/>
        <v>95.95112521133493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42095.43</v>
      </c>
      <c r="G21" s="43">
        <f t="shared" si="0"/>
        <v>2181.3300000000017</v>
      </c>
      <c r="H21" s="35">
        <f t="shared" si="4"/>
        <v>105.46506121896775</v>
      </c>
      <c r="I21" s="50">
        <f t="shared" si="1"/>
        <v>-56104.57</v>
      </c>
      <c r="J21" s="178">
        <f t="shared" si="6"/>
        <v>42.8670366598778</v>
      </c>
      <c r="K21" s="178">
        <f>K22+K23+K24</f>
        <v>9261.170000000002</v>
      </c>
      <c r="L21" s="136"/>
      <c r="M21" s="35">
        <f>E21-квітень!E36</f>
        <v>8061.0999999999985</v>
      </c>
      <c r="N21" s="35">
        <f>F21-квітень!F36</f>
        <v>4811.529999999999</v>
      </c>
      <c r="O21" s="47">
        <f t="shared" si="3"/>
        <v>-3249.5699999999997</v>
      </c>
      <c r="P21" s="50">
        <f t="shared" si="5"/>
        <v>59.688255945218394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4346.84</v>
      </c>
      <c r="G22" s="135">
        <f t="shared" si="0"/>
        <v>4070.7400000000002</v>
      </c>
      <c r="H22" s="137">
        <f t="shared" si="4"/>
        <v>1574.3716044911264</v>
      </c>
      <c r="I22" s="136">
        <f t="shared" si="1"/>
        <v>3346.84</v>
      </c>
      <c r="J22" s="136">
        <f t="shared" si="6"/>
        <v>434.684</v>
      </c>
      <c r="K22" s="136">
        <f>F22-129.75</f>
        <v>4217.09</v>
      </c>
      <c r="L22" s="136">
        <f>F22/129.75*100</f>
        <v>3350.1657032755297</v>
      </c>
      <c r="M22" s="137">
        <f>E22-квітень!E37</f>
        <v>5.100000000000023</v>
      </c>
      <c r="N22" s="137">
        <f>F22-квітень!F37</f>
        <v>127.77000000000044</v>
      </c>
      <c r="O22" s="138">
        <f t="shared" si="3"/>
        <v>122.67000000000041</v>
      </c>
      <c r="P22" s="136">
        <f t="shared" si="5"/>
        <v>2505.2941176470563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37575.5</v>
      </c>
      <c r="G24" s="135">
        <f t="shared" si="0"/>
        <v>-1812.5</v>
      </c>
      <c r="H24" s="137">
        <f t="shared" si="4"/>
        <v>95.39834467350462</v>
      </c>
      <c r="I24" s="136">
        <f t="shared" si="1"/>
        <v>-58124.5</v>
      </c>
      <c r="J24" s="136">
        <f t="shared" si="6"/>
        <v>39.26384535005224</v>
      </c>
      <c r="K24" s="139">
        <f>F24-32704.51</f>
        <v>4870.990000000002</v>
      </c>
      <c r="L24" s="139">
        <f>F24/32704.51*100</f>
        <v>114.89393970434048</v>
      </c>
      <c r="M24" s="137">
        <f>E24-квітень!E39</f>
        <v>8056</v>
      </c>
      <c r="N24" s="137">
        <f>F24-квітень!F39</f>
        <v>4652.389999999999</v>
      </c>
      <c r="O24" s="138">
        <f t="shared" si="3"/>
        <v>-3403.6100000000006</v>
      </c>
      <c r="P24" s="136">
        <f t="shared" si="5"/>
        <v>57.75062065541211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-115.17</v>
      </c>
      <c r="G26" s="43">
        <f t="shared" si="0"/>
        <v>-115.17</v>
      </c>
      <c r="H26" s="35"/>
      <c r="I26" s="50">
        <f t="shared" si="1"/>
        <v>-115.17</v>
      </c>
      <c r="J26" s="136"/>
      <c r="K26" s="178">
        <f>F26-2664.98</f>
        <v>-2780.15</v>
      </c>
      <c r="L26" s="178">
        <f>F26/2664.98*100</f>
        <v>-4.321608417323958</v>
      </c>
      <c r="M26" s="35">
        <f>E26-квітень!E41</f>
        <v>0</v>
      </c>
      <c r="N26" s="35">
        <f>F26-квітень!F41</f>
        <v>-55.93</v>
      </c>
      <c r="O26" s="47">
        <f t="shared" si="3"/>
        <v>-55.93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42525.68</v>
      </c>
      <c r="G27" s="43">
        <f t="shared" si="0"/>
        <v>6705.68</v>
      </c>
      <c r="H27" s="35">
        <f t="shared" si="4"/>
        <v>118.72049134561698</v>
      </c>
      <c r="I27" s="50">
        <f t="shared" si="1"/>
        <v>-25974.32</v>
      </c>
      <c r="J27" s="178">
        <f t="shared" si="6"/>
        <v>62.08128467153284</v>
      </c>
      <c r="K27" s="132">
        <f>F27-35174.22</f>
        <v>7351.459999999999</v>
      </c>
      <c r="L27" s="132">
        <f>F27/35174.22*100</f>
        <v>120.90013652044024</v>
      </c>
      <c r="M27" s="35">
        <f>E27-квітень!E42</f>
        <v>6780</v>
      </c>
      <c r="N27" s="35">
        <f>F27-квітень!F42</f>
        <v>9479.36</v>
      </c>
      <c r="O27" s="47">
        <f t="shared" si="3"/>
        <v>2699.3600000000006</v>
      </c>
      <c r="P27" s="50">
        <f t="shared" si="5"/>
        <v>139.81356932153392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10748.36</v>
      </c>
      <c r="G29" s="135">
        <f t="shared" si="0"/>
        <v>1608.3600000000006</v>
      </c>
      <c r="H29" s="137">
        <f t="shared" si="4"/>
        <v>117.59693654266958</v>
      </c>
      <c r="I29" s="136">
        <f t="shared" si="1"/>
        <v>-5751.639999999999</v>
      </c>
      <c r="J29" s="136">
        <f t="shared" si="6"/>
        <v>65.14157575757577</v>
      </c>
      <c r="K29" s="139">
        <f>F29-9886.89</f>
        <v>861.4700000000012</v>
      </c>
      <c r="L29" s="139">
        <f>F29/9886.89*100</f>
        <v>108.71325563448164</v>
      </c>
      <c r="M29" s="137">
        <f>E29-квітень!E44</f>
        <v>2500</v>
      </c>
      <c r="N29" s="137">
        <f>F29-квітень!F44</f>
        <v>2565.9500000000007</v>
      </c>
      <c r="O29" s="138">
        <f t="shared" si="3"/>
        <v>65.95000000000073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31771.7</v>
      </c>
      <c r="G30" s="135">
        <f t="shared" si="0"/>
        <v>5091.700000000001</v>
      </c>
      <c r="H30" s="137">
        <f t="shared" si="4"/>
        <v>119.08433283358322</v>
      </c>
      <c r="I30" s="136">
        <f t="shared" si="1"/>
        <v>-20228.3</v>
      </c>
      <c r="J30" s="136">
        <f t="shared" si="6"/>
        <v>61.099423076923074</v>
      </c>
      <c r="K30" s="139">
        <f>F30-25287.05</f>
        <v>6484.6500000000015</v>
      </c>
      <c r="L30" s="139">
        <f>F30/25287.05*100</f>
        <v>125.64415382577249</v>
      </c>
      <c r="M30" s="137">
        <f>E30-квітень!E45</f>
        <v>4280</v>
      </c>
      <c r="N30" s="137">
        <f>F30-квітень!F45</f>
        <v>6912.34</v>
      </c>
      <c r="O30" s="138">
        <f t="shared" si="3"/>
        <v>2632.34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5.83</v>
      </c>
      <c r="G31" s="135">
        <f t="shared" si="0"/>
        <v>5.83</v>
      </c>
      <c r="H31" s="137"/>
      <c r="I31" s="136">
        <f t="shared" si="1"/>
        <v>5.83</v>
      </c>
      <c r="J31" s="136"/>
      <c r="K31" s="139">
        <f>F31-0</f>
        <v>5.83</v>
      </c>
      <c r="L31" s="139"/>
      <c r="M31" s="137">
        <f>E31-квітень!E46</f>
        <v>0</v>
      </c>
      <c r="N31" s="137">
        <f>F31-квітень!F46</f>
        <v>0.08000000000000007</v>
      </c>
      <c r="O31" s="138">
        <f t="shared" si="3"/>
        <v>0.08000000000000007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4019.65</v>
      </c>
      <c r="G32" s="43">
        <f t="shared" si="0"/>
        <v>25.15000000000009</v>
      </c>
      <c r="H32" s="35">
        <f t="shared" si="4"/>
        <v>100.62961572161721</v>
      </c>
      <c r="I32" s="50">
        <f t="shared" si="1"/>
        <v>-3480.35</v>
      </c>
      <c r="J32" s="178">
        <f t="shared" si="6"/>
        <v>53.595333333333336</v>
      </c>
      <c r="K32" s="178">
        <f>F32-5292.86</f>
        <v>-1273.2099999999996</v>
      </c>
      <c r="L32" s="178">
        <f>F32/2618.43*100</f>
        <v>153.5137467871969</v>
      </c>
      <c r="M32" s="35">
        <f>E32-квітень!E47</f>
        <v>2000</v>
      </c>
      <c r="N32" s="35">
        <f>F32-квітень!F47</f>
        <v>2005.5500000000002</v>
      </c>
      <c r="O32" s="47">
        <f t="shared" si="3"/>
        <v>5.550000000000182</v>
      </c>
      <c r="P32" s="50">
        <f t="shared" si="5"/>
        <v>100.27750000000002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12724.41</v>
      </c>
      <c r="G33" s="44">
        <f aca="true" t="shared" si="7" ref="G33:G54">F33-E33</f>
        <v>7561.41</v>
      </c>
      <c r="H33" s="45">
        <f>F33/E33*100</f>
        <v>246.45380592678677</v>
      </c>
      <c r="I33" s="31">
        <f aca="true" t="shared" si="8" ref="I33:I54">F33-D33</f>
        <v>157.3099999999995</v>
      </c>
      <c r="J33" s="31">
        <f aca="true" t="shared" si="9" ref="J33:J46">F33/D33*100</f>
        <v>101.25176054937097</v>
      </c>
      <c r="K33" s="18">
        <f>K34+K35+K36+K37+K38+K41+K42+K47+K48+K52+K40</f>
        <v>7374.12</v>
      </c>
      <c r="L33" s="18"/>
      <c r="M33" s="18">
        <f>M34+M35+M36+M37+M38+M41+M42+M47+M48+M52+M40+M39</f>
        <v>1074.5</v>
      </c>
      <c r="N33" s="18">
        <f>N34+N35+N36+N37+N38+N41+N42+N47+N48+N52+N40+N39</f>
        <v>2290.8099999999995</v>
      </c>
      <c r="O33" s="49">
        <f aca="true" t="shared" si="10" ref="O33:O54">N33-M33</f>
        <v>1216.3099999999995</v>
      </c>
      <c r="P33" s="31">
        <f>N33/M33*100</f>
        <v>213.1977664029781</v>
      </c>
      <c r="Q33" s="31">
        <f>N33-1017.63</f>
        <v>1273.1799999999994</v>
      </c>
      <c r="R33" s="127">
        <f>N33/1017.63</f>
        <v>2.2511227066812096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19.54</v>
      </c>
      <c r="G36" s="43">
        <f t="shared" si="7"/>
        <v>19.54</v>
      </c>
      <c r="H36" s="35"/>
      <c r="I36" s="50">
        <f t="shared" si="8"/>
        <v>19.54</v>
      </c>
      <c r="J36" s="50"/>
      <c r="K36" s="50">
        <f>F36-214.58</f>
        <v>-195.04000000000002</v>
      </c>
      <c r="L36" s="50">
        <f>F36/214.58*100</f>
        <v>9.1061608724019</v>
      </c>
      <c r="M36" s="35">
        <f>E36-квітень!E58</f>
        <v>0</v>
      </c>
      <c r="N36" s="35">
        <f>F36-квітень!F58</f>
        <v>1.3000000000000007</v>
      </c>
      <c r="O36" s="47">
        <f t="shared" si="10"/>
        <v>1.3000000000000007</v>
      </c>
      <c r="P36" s="50"/>
      <c r="Q36" s="50">
        <f>N36-4.23</f>
        <v>-2.9299999999999997</v>
      </c>
      <c r="R36" s="126">
        <f>N36/4.23</f>
        <v>0.30732860520094574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63.36</v>
      </c>
      <c r="G38" s="43">
        <f t="shared" si="7"/>
        <v>12.36</v>
      </c>
      <c r="H38" s="35">
        <f>F38/E38*100</f>
        <v>124.23529411764707</v>
      </c>
      <c r="I38" s="50">
        <f t="shared" si="8"/>
        <v>-76.64</v>
      </c>
      <c r="J38" s="50">
        <f t="shared" si="9"/>
        <v>45.25714285714286</v>
      </c>
      <c r="K38" s="50">
        <f>F38-47.09</f>
        <v>16.269999999999996</v>
      </c>
      <c r="L38" s="50">
        <f>F38/47.09*100</f>
        <v>134.5508600552134</v>
      </c>
      <c r="M38" s="35">
        <f>E38-квітень!E60</f>
        <v>14</v>
      </c>
      <c r="N38" s="35">
        <f>F38-квітень!F60</f>
        <v>22.11</v>
      </c>
      <c r="O38" s="47">
        <f t="shared" si="10"/>
        <v>8.11</v>
      </c>
      <c r="P38" s="50">
        <f>N38/M38*100</f>
        <v>157.92857142857142</v>
      </c>
      <c r="Q38" s="50">
        <f>N38-9.02</f>
        <v>13.09</v>
      </c>
      <c r="R38" s="126">
        <f>N38/9.02</f>
        <v>2.451219512195122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4032.93</v>
      </c>
      <c r="G40" s="43"/>
      <c r="H40" s="35"/>
      <c r="I40" s="50">
        <f t="shared" si="8"/>
        <v>4032.93</v>
      </c>
      <c r="J40" s="50"/>
      <c r="K40" s="50">
        <f>F40-0</f>
        <v>4032.93</v>
      </c>
      <c r="L40" s="50"/>
      <c r="M40" s="35">
        <f>E40-квітень!E67</f>
        <v>0</v>
      </c>
      <c r="N40" s="35">
        <f>F40-квітень!F67</f>
        <v>684.8999999999996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3315.41</v>
      </c>
      <c r="G42" s="43">
        <f t="shared" si="7"/>
        <v>2935.41</v>
      </c>
      <c r="H42" s="35">
        <f>F42/E42*100</f>
        <v>872.4763157894737</v>
      </c>
      <c r="I42" s="50">
        <f t="shared" si="8"/>
        <v>2215.41</v>
      </c>
      <c r="J42" s="50">
        <f t="shared" si="9"/>
        <v>301.40090909090907</v>
      </c>
      <c r="K42" s="50">
        <f>F42-350.98</f>
        <v>2964.43</v>
      </c>
      <c r="L42" s="50">
        <f>F42/350.98*100</f>
        <v>944.6150777822097</v>
      </c>
      <c r="M42" s="35">
        <f>E42-квітень!E69</f>
        <v>70</v>
      </c>
      <c r="N42" s="35">
        <f>F42-квітень!F69</f>
        <v>484.30999999999995</v>
      </c>
      <c r="O42" s="47">
        <f t="shared" si="10"/>
        <v>414.30999999999995</v>
      </c>
      <c r="P42" s="50">
        <f>N42/M42*100</f>
        <v>691.8714285714285</v>
      </c>
      <c r="Q42" s="50">
        <f>N42-79.51</f>
        <v>404.79999999999995</v>
      </c>
      <c r="R42" s="126">
        <f>N42/79.51</f>
        <v>6.091183498930951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388.17</v>
      </c>
      <c r="G43" s="135">
        <f t="shared" si="7"/>
        <v>58.170000000000016</v>
      </c>
      <c r="H43" s="137">
        <f>F43/E43*100</f>
        <v>117.62727272727274</v>
      </c>
      <c r="I43" s="136">
        <f t="shared" si="8"/>
        <v>-581.8299999999999</v>
      </c>
      <c r="J43" s="136">
        <f t="shared" si="9"/>
        <v>40.01752577319588</v>
      </c>
      <c r="K43" s="136">
        <f>F43-304.83</f>
        <v>83.34000000000003</v>
      </c>
      <c r="L43" s="136">
        <f>F43/304.83*100</f>
        <v>127.33982875701211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2881.77</v>
      </c>
      <c r="G46" s="135">
        <f t="shared" si="7"/>
        <v>2831.77</v>
      </c>
      <c r="H46" s="137">
        <f>F46/E46*100</f>
        <v>5763.54</v>
      </c>
      <c r="I46" s="136">
        <f t="shared" si="8"/>
        <v>2751.77</v>
      </c>
      <c r="J46" s="136">
        <f t="shared" si="9"/>
        <v>2216.746153846154</v>
      </c>
      <c r="K46" s="136">
        <f>F46-46.16</f>
        <v>2835.61</v>
      </c>
      <c r="L46" s="136">
        <f>F46/46.16*100</f>
        <v>6243.0025996533805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1787.63</v>
      </c>
      <c r="G48" s="43">
        <f t="shared" si="7"/>
        <v>117.63000000000011</v>
      </c>
      <c r="H48" s="35">
        <f>F48/E48*100</f>
        <v>107.0437125748503</v>
      </c>
      <c r="I48" s="50">
        <f t="shared" si="8"/>
        <v>-2412.37</v>
      </c>
      <c r="J48" s="50">
        <f>F48/D48*100</f>
        <v>42.56261904761905</v>
      </c>
      <c r="K48" s="50">
        <f>F48-1649.93</f>
        <v>137.70000000000005</v>
      </c>
      <c r="L48" s="50">
        <f>F48/1649.93*100</f>
        <v>108.34580861006225</v>
      </c>
      <c r="M48" s="35">
        <f>E48-квітень!E72</f>
        <v>400</v>
      </c>
      <c r="N48" s="35">
        <f>F48-квітень!F72</f>
        <v>351.8700000000001</v>
      </c>
      <c r="O48" s="47">
        <f t="shared" si="10"/>
        <v>-48.12999999999988</v>
      </c>
      <c r="P48" s="50">
        <f aca="true" t="shared" si="11" ref="P48:P53">N48/M48*100</f>
        <v>87.96750000000003</v>
      </c>
      <c r="Q48" s="50">
        <f>N48-277.38</f>
        <v>74.49000000000012</v>
      </c>
      <c r="R48" s="126">
        <f>N48/277.38</f>
        <v>1.268548561540126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432</v>
      </c>
      <c r="G51" s="135">
        <f t="shared" si="7"/>
        <v>432</v>
      </c>
      <c r="H51" s="137"/>
      <c r="I51" s="136">
        <f t="shared" si="8"/>
        <v>432</v>
      </c>
      <c r="J51" s="136"/>
      <c r="K51" s="136">
        <f>F51-290</f>
        <v>142</v>
      </c>
      <c r="L51" s="138">
        <f>F51/290*100</f>
        <v>148.96551724137933</v>
      </c>
      <c r="M51" s="35">
        <f>E51-квітень!E75</f>
        <v>0</v>
      </c>
      <c r="N51" s="35">
        <f>F51-квітень!F75</f>
        <v>116.30000000000001</v>
      </c>
      <c r="O51" s="138">
        <f t="shared" si="10"/>
        <v>116.30000000000001</v>
      </c>
      <c r="P51" s="136"/>
      <c r="Q51" s="50">
        <f>N51-64.93</f>
        <v>51.370000000000005</v>
      </c>
      <c r="R51" s="126">
        <f>N51/64.93</f>
        <v>1.7911597104574157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253295.55999999997</v>
      </c>
      <c r="G55" s="44">
        <f>F55-E55</f>
        <v>24596.25999999998</v>
      </c>
      <c r="H55" s="45">
        <f>F55/E55*100</f>
        <v>110.75484708523375</v>
      </c>
      <c r="I55" s="31">
        <f>F55-D55</f>
        <v>-276727.04000000004</v>
      </c>
      <c r="J55" s="31">
        <f>F55/D55*100</f>
        <v>47.789577274629416</v>
      </c>
      <c r="K55" s="31">
        <f>K8+K33+K53+K54</f>
        <v>52284.64000000002</v>
      </c>
      <c r="L55" s="31">
        <f>(K55/(F55+K55))*100</f>
        <v>17.10995673148981</v>
      </c>
      <c r="M55" s="18">
        <f>M8+M33+M53+M54</f>
        <v>47207.47</v>
      </c>
      <c r="N55" s="18">
        <f>N8+N33+N53+N54</f>
        <v>44318.27000000001</v>
      </c>
      <c r="O55" s="49">
        <f>N55-M55</f>
        <v>-2889.19999999999</v>
      </c>
      <c r="P55" s="31">
        <f>N55/M55*100</f>
        <v>93.87978216159436</v>
      </c>
      <c r="Q55" s="31">
        <f>N55-34768</f>
        <v>9550.270000000011</v>
      </c>
      <c r="R55" s="171">
        <f>N55/34768</f>
        <v>1.2746856304647955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-19.38</v>
      </c>
      <c r="G61" s="43">
        <f aca="true" t="shared" si="12" ref="G61:G68">F61-E61</f>
        <v>-19.38</v>
      </c>
      <c r="H61" s="35"/>
      <c r="I61" s="53">
        <f aca="true" t="shared" si="13" ref="I61:I68">F61-D61</f>
        <v>-19.38</v>
      </c>
      <c r="J61" s="53"/>
      <c r="K61" s="47">
        <f>F61-119.54</f>
        <v>-138.92000000000002</v>
      </c>
      <c r="L61" s="53"/>
      <c r="M61" s="35">
        <f>E61-березень!E87</f>
        <v>0</v>
      </c>
      <c r="N61" s="35">
        <f>F61-квітень!F85</f>
        <v>-4.729999999999999</v>
      </c>
      <c r="O61" s="47">
        <f aca="true" t="shared" si="14" ref="O61:O68">N61-M61</f>
        <v>-4.729999999999999</v>
      </c>
      <c r="P61" s="53"/>
      <c r="Q61" s="53">
        <f>N61-24.53</f>
        <v>-29.259999999999998</v>
      </c>
      <c r="R61" s="129">
        <f>N61/24.53</f>
        <v>-0.19282511210762326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-19.38</v>
      </c>
      <c r="G62" s="55">
        <f t="shared" si="12"/>
        <v>-19.38</v>
      </c>
      <c r="H62" s="65"/>
      <c r="I62" s="54">
        <f t="shared" si="13"/>
        <v>-19.38</v>
      </c>
      <c r="J62" s="54"/>
      <c r="K62" s="54">
        <f>K60+K61</f>
        <v>-137.82000000000002</v>
      </c>
      <c r="L62" s="54"/>
      <c r="M62" s="55">
        <f>M61</f>
        <v>0</v>
      </c>
      <c r="N62" s="33">
        <f>SUM(N60:N61)</f>
        <v>-13.479999999999999</v>
      </c>
      <c r="O62" s="54">
        <f t="shared" si="14"/>
        <v>-13.479999999999999</v>
      </c>
      <c r="P62" s="54"/>
      <c r="Q62" s="54">
        <f>N62-92.85</f>
        <v>-106.33</v>
      </c>
      <c r="R62" s="130">
        <f>N62/92.85</f>
        <v>-0.1451803984921917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2081.26</v>
      </c>
      <c r="G65" s="43">
        <f t="shared" si="12"/>
        <v>17.600000000000364</v>
      </c>
      <c r="H65" s="35">
        <f>F65/E65*100</f>
        <v>100.85285366775535</v>
      </c>
      <c r="I65" s="53">
        <f t="shared" si="13"/>
        <v>-9494.74</v>
      </c>
      <c r="J65" s="53">
        <f t="shared" si="15"/>
        <v>17.979094678645474</v>
      </c>
      <c r="K65" s="53">
        <f>F65-2070.75</f>
        <v>10.510000000000218</v>
      </c>
      <c r="L65" s="53">
        <f>F65/2070.75*100</f>
        <v>100.50754557527466</v>
      </c>
      <c r="M65" s="35">
        <f>E65-квітень!E89</f>
        <v>564.6799999999998</v>
      </c>
      <c r="N65" s="35">
        <f>F65-квітень!F89</f>
        <v>143.20000000000027</v>
      </c>
      <c r="O65" s="47">
        <f t="shared" si="14"/>
        <v>-421.47999999999956</v>
      </c>
      <c r="P65" s="53">
        <f>N65/M65*100</f>
        <v>25.359495643550385</v>
      </c>
      <c r="Q65" s="53">
        <f>N65-450.01</f>
        <v>-306.8099999999997</v>
      </c>
      <c r="R65" s="129">
        <f>N65/450.01</f>
        <v>0.31821515077442786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3943.42</v>
      </c>
      <c r="G67" s="55">
        <f t="shared" si="12"/>
        <v>887.3600000000001</v>
      </c>
      <c r="H67" s="65">
        <f>F67/E67*100</f>
        <v>129.036079134572</v>
      </c>
      <c r="I67" s="54">
        <f t="shared" si="13"/>
        <v>-13132.58</v>
      </c>
      <c r="J67" s="54">
        <f t="shared" si="15"/>
        <v>23.093347388147105</v>
      </c>
      <c r="K67" s="54">
        <f>K64+K65+K66</f>
        <v>-440.0499999999997</v>
      </c>
      <c r="L67" s="54"/>
      <c r="M67" s="55">
        <f>M64+M65+M66</f>
        <v>1042.7799999999997</v>
      </c>
      <c r="N67" s="55">
        <f>N64+N65+N66</f>
        <v>1879.5000000000002</v>
      </c>
      <c r="O67" s="54">
        <f t="shared" si="14"/>
        <v>836.7200000000005</v>
      </c>
      <c r="P67" s="54">
        <f>N67/M67*100</f>
        <v>180.23936017184838</v>
      </c>
      <c r="Q67" s="54">
        <f>N67-7985.28</f>
        <v>-6105.78</v>
      </c>
      <c r="R67" s="173">
        <f>N67/7985.28</f>
        <v>0.23537058187064203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0.83</v>
      </c>
      <c r="G70" s="43">
        <f>F70-E70</f>
        <v>0.83</v>
      </c>
      <c r="H70" s="35"/>
      <c r="I70" s="53">
        <f>F70-D70</f>
        <v>0.83</v>
      </c>
      <c r="J70" s="53"/>
      <c r="K70" s="53">
        <f>F70-0.04</f>
        <v>0.7899999999999999</v>
      </c>
      <c r="L70" s="53">
        <f>F70/0.04*100</f>
        <v>2075</v>
      </c>
      <c r="M70" s="35">
        <f>E70-квітень!E95</f>
        <v>0</v>
      </c>
      <c r="N70" s="35">
        <f>F70-квітень!F95</f>
        <v>0.13</v>
      </c>
      <c r="O70" s="47">
        <f>N70-M70</f>
        <v>0.13</v>
      </c>
      <c r="P70" s="53"/>
      <c r="Q70" s="53">
        <f>N70-(-0.21)</f>
        <v>0.33999999999999997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0.83</v>
      </c>
      <c r="G71" s="55">
        <f>F71-E71</f>
        <v>-20.17</v>
      </c>
      <c r="H71" s="65"/>
      <c r="I71" s="54">
        <f>F71-D71</f>
        <v>-53.17</v>
      </c>
      <c r="J71" s="54">
        <f>F71/D71*100</f>
        <v>1.537037037037037</v>
      </c>
      <c r="K71" s="54">
        <f>K68+K69+K70</f>
        <v>-27.680000000000003</v>
      </c>
      <c r="L71" s="54"/>
      <c r="M71" s="55">
        <f>M68+M70+M69</f>
        <v>2</v>
      </c>
      <c r="N71" s="55">
        <f>N68+N70+N69</f>
        <v>0.13</v>
      </c>
      <c r="O71" s="54">
        <f>N71-M71</f>
        <v>-1.87</v>
      </c>
      <c r="P71" s="54"/>
      <c r="Q71" s="54">
        <f>N71-26.38</f>
        <v>-26.25</v>
      </c>
      <c r="R71" s="128">
        <f>N71/26.38</f>
        <v>0.0049279757391963615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13.67</v>
      </c>
      <c r="G72" s="43">
        <f>F72-E72</f>
        <v>-0.11999999999999922</v>
      </c>
      <c r="H72" s="35">
        <f>F72/E72*100</f>
        <v>99.12980420594634</v>
      </c>
      <c r="I72" s="53">
        <f>F72-D72</f>
        <v>-28.33</v>
      </c>
      <c r="J72" s="53">
        <f>F72/D72*100</f>
        <v>32.54761904761905</v>
      </c>
      <c r="K72" s="53">
        <f>F72-13.15</f>
        <v>0.5199999999999996</v>
      </c>
      <c r="L72" s="53">
        <f>F72/13.15*100</f>
        <v>103.95437262357414</v>
      </c>
      <c r="M72" s="35">
        <f>E72-квітень!E97</f>
        <v>1</v>
      </c>
      <c r="N72" s="35">
        <f>F72-квітень!F97</f>
        <v>0.28999999999999915</v>
      </c>
      <c r="O72" s="47">
        <f>N72-M72</f>
        <v>-0.7100000000000009</v>
      </c>
      <c r="P72" s="53">
        <f>N72/M72*100</f>
        <v>28.999999999999915</v>
      </c>
      <c r="Q72" s="53">
        <f>N72-0.45</f>
        <v>-0.16000000000000086</v>
      </c>
      <c r="R72" s="129">
        <f>N72/0.45</f>
        <v>0.6444444444444425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3938.74</v>
      </c>
      <c r="G74" s="44">
        <f>F74-E74</f>
        <v>847.8899999999999</v>
      </c>
      <c r="H74" s="45">
        <f>F74/E74*100</f>
        <v>127.43225973437727</v>
      </c>
      <c r="I74" s="31">
        <f>F74-D74</f>
        <v>-13233.26</v>
      </c>
      <c r="J74" s="31">
        <f>F74/D74*100</f>
        <v>22.936990449569063</v>
      </c>
      <c r="K74" s="31">
        <f>K62+K67+K71+K72</f>
        <v>-605.0299999999997</v>
      </c>
      <c r="L74" s="31"/>
      <c r="M74" s="27">
        <f>M62+M72+M67+M71</f>
        <v>1045.7799999999997</v>
      </c>
      <c r="N74" s="27">
        <f>N62+N72+N67+N71+N73</f>
        <v>1866.4400000000003</v>
      </c>
      <c r="O74" s="31">
        <f>N74-M74</f>
        <v>820.6600000000005</v>
      </c>
      <c r="P74" s="31">
        <f>N74/M74*100</f>
        <v>178.4734839067491</v>
      </c>
      <c r="Q74" s="31">
        <f>N74-8104.96</f>
        <v>-6238.5199999999995</v>
      </c>
      <c r="R74" s="127">
        <f>N74/8104.96</f>
        <v>0.23028367814276693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257234.29999999996</v>
      </c>
      <c r="G75" s="44">
        <f>F75-E75</f>
        <v>25444.149999999965</v>
      </c>
      <c r="H75" s="45">
        <f>F75/E75*100</f>
        <v>110.97723522764016</v>
      </c>
      <c r="I75" s="31">
        <f>F75-D75</f>
        <v>-289960.30000000005</v>
      </c>
      <c r="J75" s="31">
        <f>F75/D75*100</f>
        <v>47.009656162542534</v>
      </c>
      <c r="K75" s="31">
        <f>K55+K74</f>
        <v>51679.61000000002</v>
      </c>
      <c r="L75" s="31"/>
      <c r="M75" s="18">
        <f>M55+M74</f>
        <v>48253.25</v>
      </c>
      <c r="N75" s="18">
        <f>N55+N74</f>
        <v>46184.710000000014</v>
      </c>
      <c r="O75" s="31">
        <f>N75-M75</f>
        <v>-2068.5399999999863</v>
      </c>
      <c r="P75" s="31">
        <f>N75/M75*100</f>
        <v>95.71315921725483</v>
      </c>
      <c r="Q75" s="31">
        <f>N75-42872.96</f>
        <v>3311.7500000000146</v>
      </c>
      <c r="R75" s="127">
        <f>N75/42872.96</f>
        <v>1.0772456578692027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2</v>
      </c>
      <c r="D77" s="4" t="s">
        <v>118</v>
      </c>
    </row>
    <row r="78" spans="2:17" ht="31.5">
      <c r="B78" s="71" t="s">
        <v>154</v>
      </c>
      <c r="C78" s="34">
        <f>IF(O55&lt;0,ABS(O55/C77),0)</f>
        <v>1444.599999999995</v>
      </c>
      <c r="D78" s="4" t="s">
        <v>104</v>
      </c>
      <c r="G78" s="231"/>
      <c r="H78" s="231"/>
      <c r="I78" s="231"/>
      <c r="J78" s="23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42151</v>
      </c>
      <c r="D79" s="34">
        <v>3158.7</v>
      </c>
      <c r="N79" s="232"/>
      <c r="O79" s="232"/>
    </row>
    <row r="80" spans="3:15" ht="15.75">
      <c r="C80" s="111">
        <v>42150</v>
      </c>
      <c r="D80" s="34">
        <v>3050.2</v>
      </c>
      <c r="F80" s="155" t="s">
        <v>166</v>
      </c>
      <c r="G80" s="233"/>
      <c r="H80" s="233"/>
      <c r="I80" s="177"/>
      <c r="J80" s="234"/>
      <c r="K80" s="234"/>
      <c r="L80" s="234"/>
      <c r="M80" s="234"/>
      <c r="N80" s="232"/>
      <c r="O80" s="232"/>
    </row>
    <row r="81" spans="3:15" ht="15.75" customHeight="1">
      <c r="C81" s="111">
        <v>42149</v>
      </c>
      <c r="D81" s="34">
        <v>1335.1</v>
      </c>
      <c r="G81" s="238" t="s">
        <v>151</v>
      </c>
      <c r="H81" s="238"/>
      <c r="I81" s="106">
        <v>8909.73221</v>
      </c>
      <c r="J81" s="239"/>
      <c r="K81" s="239"/>
      <c r="L81" s="239"/>
      <c r="M81" s="239"/>
      <c r="N81" s="232"/>
      <c r="O81" s="232"/>
    </row>
    <row r="82" spans="7:13" ht="15.75" customHeight="1">
      <c r="G82" s="240" t="s">
        <v>234</v>
      </c>
      <c r="H82" s="241"/>
      <c r="I82" s="103">
        <v>0</v>
      </c>
      <c r="J82" s="234"/>
      <c r="K82" s="234"/>
      <c r="L82" s="234"/>
      <c r="M82" s="234"/>
    </row>
    <row r="83" spans="2:13" ht="18.75" customHeight="1">
      <c r="B83" s="242" t="s">
        <v>160</v>
      </c>
      <c r="C83" s="243"/>
      <c r="D83" s="108">
        <v>154113.41133</v>
      </c>
      <c r="E83" s="73"/>
      <c r="F83" s="156" t="s">
        <v>147</v>
      </c>
      <c r="G83" s="238" t="s">
        <v>149</v>
      </c>
      <c r="H83" s="238"/>
      <c r="I83" s="107">
        <v>145203.67912000002</v>
      </c>
      <c r="J83" s="234"/>
      <c r="K83" s="234"/>
      <c r="L83" s="234"/>
      <c r="M83" s="234"/>
    </row>
    <row r="84" spans="7:12" ht="9.75" customHeight="1">
      <c r="G84" s="233"/>
      <c r="H84" s="233"/>
      <c r="I84" s="90"/>
      <c r="J84" s="91"/>
      <c r="K84" s="91"/>
      <c r="L84" s="91"/>
    </row>
    <row r="85" spans="2:12" ht="22.5" customHeight="1" hidden="1">
      <c r="B85" s="244" t="s">
        <v>167</v>
      </c>
      <c r="C85" s="245"/>
      <c r="D85" s="110">
        <v>0</v>
      </c>
      <c r="E85" s="70" t="s">
        <v>104</v>
      </c>
      <c r="G85" s="233"/>
      <c r="H85" s="233"/>
      <c r="I85" s="90"/>
      <c r="J85" s="91"/>
      <c r="K85" s="91"/>
      <c r="L85" s="91"/>
    </row>
    <row r="86" spans="4:15" ht="15.75">
      <c r="D86" s="105"/>
      <c r="N86" s="233"/>
      <c r="O86" s="233"/>
    </row>
    <row r="87" spans="4:15" ht="15.75">
      <c r="D87" s="104"/>
      <c r="I87" s="34"/>
      <c r="N87" s="246"/>
      <c r="O87" s="246"/>
    </row>
    <row r="88" spans="14:15" ht="15.75">
      <c r="N88" s="233"/>
      <c r="O88" s="23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89" sqref="H8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259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240</v>
      </c>
      <c r="N3" s="218" t="s">
        <v>241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237</v>
      </c>
      <c r="F4" s="247" t="s">
        <v>116</v>
      </c>
      <c r="G4" s="225" t="s">
        <v>238</v>
      </c>
      <c r="H4" s="227" t="s">
        <v>239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260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48"/>
      <c r="G5" s="226"/>
      <c r="H5" s="228"/>
      <c r="I5" s="230"/>
      <c r="J5" s="217"/>
      <c r="K5" s="221" t="s">
        <v>242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315.7</v>
      </c>
      <c r="G75" s="135">
        <f t="shared" si="12"/>
        <v>315.7</v>
      </c>
      <c r="H75" s="137"/>
      <c r="I75" s="136">
        <f t="shared" si="13"/>
        <v>315.7</v>
      </c>
      <c r="J75" s="136"/>
      <c r="K75" s="136">
        <f>F75-234.45</f>
        <v>81.25</v>
      </c>
      <c r="L75" s="138">
        <f>F75/234.45*100</f>
        <v>134.6555768820644</v>
      </c>
      <c r="M75" s="35">
        <f>E75-березень!E78</f>
        <v>0</v>
      </c>
      <c r="N75" s="35">
        <f>F75-березень!F78</f>
        <v>76.1</v>
      </c>
      <c r="O75" s="138">
        <f t="shared" si="15"/>
        <v>76.1</v>
      </c>
      <c r="P75" s="136"/>
      <c r="Q75" s="50">
        <f>N75-64.93</f>
        <v>11.169999999999987</v>
      </c>
      <c r="R75" s="126">
        <f>N75/64.93</f>
        <v>1.1720314184506389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31"/>
      <c r="H103" s="231"/>
      <c r="I103" s="231"/>
      <c r="J103" s="23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2"/>
      <c r="O104" s="232"/>
    </row>
    <row r="105" spans="3:15" ht="15.75">
      <c r="C105" s="111">
        <v>42123</v>
      </c>
      <c r="D105" s="34">
        <v>7959.6</v>
      </c>
      <c r="F105" s="201" t="s">
        <v>166</v>
      </c>
      <c r="G105" s="233"/>
      <c r="H105" s="233"/>
      <c r="I105" s="177"/>
      <c r="J105" s="234"/>
      <c r="K105" s="234"/>
      <c r="L105" s="234"/>
      <c r="M105" s="234"/>
      <c r="N105" s="232"/>
      <c r="O105" s="232"/>
    </row>
    <row r="106" spans="3:15" ht="15.75" customHeight="1">
      <c r="C106" s="111">
        <v>42122</v>
      </c>
      <c r="D106" s="34">
        <v>4962.7</v>
      </c>
      <c r="G106" s="238" t="s">
        <v>151</v>
      </c>
      <c r="H106" s="238"/>
      <c r="I106" s="106">
        <v>8909.73221</v>
      </c>
      <c r="J106" s="239"/>
      <c r="K106" s="239"/>
      <c r="L106" s="239"/>
      <c r="M106" s="239"/>
      <c r="N106" s="232"/>
      <c r="O106" s="232"/>
    </row>
    <row r="107" spans="7:13" ht="15.75" customHeight="1">
      <c r="G107" s="240" t="s">
        <v>234</v>
      </c>
      <c r="H107" s="241"/>
      <c r="I107" s="103">
        <v>0</v>
      </c>
      <c r="J107" s="234"/>
      <c r="K107" s="234"/>
      <c r="L107" s="234"/>
      <c r="M107" s="234"/>
    </row>
    <row r="108" spans="2:13" ht="18.75" customHeight="1">
      <c r="B108" s="242" t="s">
        <v>160</v>
      </c>
      <c r="C108" s="243"/>
      <c r="D108" s="108">
        <v>154856.06924</v>
      </c>
      <c r="E108" s="73"/>
      <c r="F108" s="202" t="s">
        <v>147</v>
      </c>
      <c r="G108" s="238" t="s">
        <v>149</v>
      </c>
      <c r="H108" s="238"/>
      <c r="I108" s="107">
        <v>145946.33703</v>
      </c>
      <c r="J108" s="234"/>
      <c r="K108" s="234"/>
      <c r="L108" s="234"/>
      <c r="M108" s="234"/>
    </row>
    <row r="109" spans="7:12" ht="9.75" customHeight="1">
      <c r="G109" s="233"/>
      <c r="H109" s="233"/>
      <c r="I109" s="90"/>
      <c r="J109" s="91"/>
      <c r="K109" s="91"/>
      <c r="L109" s="91"/>
    </row>
    <row r="110" spans="2:12" ht="22.5" customHeight="1" hidden="1">
      <c r="B110" s="244" t="s">
        <v>167</v>
      </c>
      <c r="C110" s="245"/>
      <c r="D110" s="110">
        <v>0</v>
      </c>
      <c r="E110" s="70" t="s">
        <v>104</v>
      </c>
      <c r="G110" s="233"/>
      <c r="H110" s="233"/>
      <c r="I110" s="90"/>
      <c r="J110" s="91"/>
      <c r="K110" s="91"/>
      <c r="L110" s="91"/>
    </row>
    <row r="111" spans="4:15" ht="15.75">
      <c r="D111" s="105"/>
      <c r="N111" s="233"/>
      <c r="O111" s="233"/>
    </row>
    <row r="112" spans="4:15" ht="15.75">
      <c r="D112" s="104"/>
      <c r="I112" s="34"/>
      <c r="N112" s="246"/>
      <c r="O112" s="246"/>
    </row>
    <row r="113" spans="14:15" ht="15.75">
      <c r="N113" s="233"/>
      <c r="O113" s="233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231</v>
      </c>
      <c r="N3" s="218" t="s">
        <v>232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228</v>
      </c>
      <c r="F4" s="223" t="s">
        <v>116</v>
      </c>
      <c r="G4" s="225" t="s">
        <v>229</v>
      </c>
      <c r="H4" s="227" t="s">
        <v>230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236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233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31"/>
      <c r="H104" s="231"/>
      <c r="I104" s="231"/>
      <c r="J104" s="23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2"/>
      <c r="O105" s="232"/>
    </row>
    <row r="106" spans="3:15" ht="15.75">
      <c r="C106" s="111">
        <v>42093</v>
      </c>
      <c r="D106" s="34">
        <v>8025</v>
      </c>
      <c r="F106" s="155" t="s">
        <v>166</v>
      </c>
      <c r="G106" s="233"/>
      <c r="H106" s="233"/>
      <c r="I106" s="177"/>
      <c r="J106" s="234"/>
      <c r="K106" s="234"/>
      <c r="L106" s="234"/>
      <c r="M106" s="234"/>
      <c r="N106" s="232"/>
      <c r="O106" s="232"/>
    </row>
    <row r="107" spans="3:15" ht="15.75" customHeight="1">
      <c r="C107" s="111">
        <v>42090</v>
      </c>
      <c r="D107" s="34">
        <v>4282.6</v>
      </c>
      <c r="G107" s="238" t="s">
        <v>151</v>
      </c>
      <c r="H107" s="238"/>
      <c r="I107" s="106">
        <f>8909732.21/1000</f>
        <v>8909.73221</v>
      </c>
      <c r="J107" s="239"/>
      <c r="K107" s="239"/>
      <c r="L107" s="239"/>
      <c r="M107" s="239"/>
      <c r="N107" s="232"/>
      <c r="O107" s="232"/>
    </row>
    <row r="108" spans="7:13" ht="15.75" customHeight="1">
      <c r="G108" s="240" t="s">
        <v>234</v>
      </c>
      <c r="H108" s="241"/>
      <c r="I108" s="103">
        <v>0</v>
      </c>
      <c r="J108" s="234"/>
      <c r="K108" s="234"/>
      <c r="L108" s="234"/>
      <c r="M108" s="234"/>
    </row>
    <row r="109" spans="2:13" ht="18.75" customHeight="1">
      <c r="B109" s="242" t="s">
        <v>160</v>
      </c>
      <c r="C109" s="243"/>
      <c r="D109" s="108">
        <f>147433239.77/1000</f>
        <v>147433.23977000001</v>
      </c>
      <c r="E109" s="73"/>
      <c r="F109" s="156" t="s">
        <v>147</v>
      </c>
      <c r="G109" s="238" t="s">
        <v>149</v>
      </c>
      <c r="H109" s="238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33"/>
      <c r="H110" s="233"/>
      <c r="I110" s="90"/>
      <c r="J110" s="91"/>
      <c r="K110" s="91"/>
      <c r="L110" s="91"/>
    </row>
    <row r="111" spans="2:12" ht="22.5" customHeight="1" hidden="1">
      <c r="B111" s="244" t="s">
        <v>167</v>
      </c>
      <c r="C111" s="245"/>
      <c r="D111" s="110">
        <v>0</v>
      </c>
      <c r="E111" s="70" t="s">
        <v>104</v>
      </c>
      <c r="G111" s="233"/>
      <c r="H111" s="233"/>
      <c r="I111" s="90"/>
      <c r="J111" s="91"/>
      <c r="K111" s="91"/>
      <c r="L111" s="91"/>
    </row>
    <row r="112" spans="4:15" ht="15.75">
      <c r="D112" s="105"/>
      <c r="N112" s="233"/>
      <c r="O112" s="233"/>
    </row>
    <row r="113" spans="4:15" ht="15.75">
      <c r="D113" s="104"/>
      <c r="I113" s="34"/>
      <c r="N113" s="246"/>
      <c r="O113" s="246"/>
    </row>
    <row r="114" spans="14:15" ht="15.75">
      <c r="N114" s="233"/>
      <c r="O114" s="23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227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205</v>
      </c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221</v>
      </c>
      <c r="N3" s="218" t="s">
        <v>202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199</v>
      </c>
      <c r="F4" s="223" t="s">
        <v>116</v>
      </c>
      <c r="G4" s="225" t="s">
        <v>200</v>
      </c>
      <c r="H4" s="227" t="s">
        <v>201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226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224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31"/>
      <c r="H104" s="231"/>
      <c r="I104" s="231"/>
      <c r="J104" s="23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2"/>
      <c r="O105" s="232"/>
    </row>
    <row r="106" spans="3:15" ht="15.75">
      <c r="C106" s="111">
        <v>42061</v>
      </c>
      <c r="D106" s="34">
        <v>6003.3</v>
      </c>
      <c r="F106" s="155" t="s">
        <v>166</v>
      </c>
      <c r="G106" s="233"/>
      <c r="H106" s="233"/>
      <c r="I106" s="177"/>
      <c r="J106" s="234"/>
      <c r="K106" s="234"/>
      <c r="L106" s="234"/>
      <c r="M106" s="234"/>
      <c r="N106" s="232"/>
      <c r="O106" s="232"/>
    </row>
    <row r="107" spans="3:15" ht="15.75" customHeight="1">
      <c r="C107" s="111">
        <v>42060</v>
      </c>
      <c r="D107" s="34">
        <v>1551.3</v>
      </c>
      <c r="G107" s="238" t="s">
        <v>151</v>
      </c>
      <c r="H107" s="238"/>
      <c r="I107" s="106">
        <v>8909.73221</v>
      </c>
      <c r="J107" s="239"/>
      <c r="K107" s="239"/>
      <c r="L107" s="239"/>
      <c r="M107" s="239"/>
      <c r="N107" s="232"/>
      <c r="O107" s="232"/>
    </row>
    <row r="108" spans="7:13" ht="15.75" customHeight="1">
      <c r="G108" s="249" t="s">
        <v>155</v>
      </c>
      <c r="H108" s="249"/>
      <c r="I108" s="103">
        <v>0</v>
      </c>
      <c r="J108" s="234"/>
      <c r="K108" s="234"/>
      <c r="L108" s="234"/>
      <c r="M108" s="234"/>
    </row>
    <row r="109" spans="2:13" ht="18.75" customHeight="1">
      <c r="B109" s="242" t="s">
        <v>160</v>
      </c>
      <c r="C109" s="243"/>
      <c r="D109" s="108">
        <f>138305956.27/1000</f>
        <v>138305.95627000002</v>
      </c>
      <c r="E109" s="73"/>
      <c r="F109" s="156" t="s">
        <v>147</v>
      </c>
      <c r="G109" s="238" t="s">
        <v>149</v>
      </c>
      <c r="H109" s="238"/>
      <c r="I109" s="107">
        <v>129396.23</v>
      </c>
      <c r="J109" s="234"/>
      <c r="K109" s="234"/>
      <c r="L109" s="234"/>
      <c r="M109" s="234"/>
    </row>
    <row r="110" spans="7:12" ht="9.75" customHeight="1">
      <c r="G110" s="233"/>
      <c r="H110" s="233"/>
      <c r="I110" s="90"/>
      <c r="J110" s="91"/>
      <c r="K110" s="91"/>
      <c r="L110" s="91"/>
    </row>
    <row r="111" spans="2:12" ht="22.5" customHeight="1" hidden="1">
      <c r="B111" s="244" t="s">
        <v>167</v>
      </c>
      <c r="C111" s="245"/>
      <c r="D111" s="110">
        <v>0</v>
      </c>
      <c r="E111" s="70" t="s">
        <v>104</v>
      </c>
      <c r="G111" s="233"/>
      <c r="H111" s="233"/>
      <c r="I111" s="90"/>
      <c r="J111" s="91"/>
      <c r="K111" s="91"/>
      <c r="L111" s="91"/>
    </row>
    <row r="112" spans="4:15" ht="15.75">
      <c r="D112" s="105"/>
      <c r="N112" s="233"/>
      <c r="O112" s="233"/>
    </row>
    <row r="113" spans="4:15" ht="15.75">
      <c r="D113" s="104"/>
      <c r="I113" s="34"/>
      <c r="N113" s="246"/>
      <c r="O113" s="246"/>
    </row>
    <row r="114" spans="14:15" ht="15.75">
      <c r="N114" s="233"/>
      <c r="O114" s="23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193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205</v>
      </c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220</v>
      </c>
      <c r="N3" s="218" t="s">
        <v>175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219</v>
      </c>
      <c r="F4" s="223" t="s">
        <v>116</v>
      </c>
      <c r="G4" s="225" t="s">
        <v>173</v>
      </c>
      <c r="H4" s="250" t="s">
        <v>174</v>
      </c>
      <c r="I4" s="252" t="s">
        <v>217</v>
      </c>
      <c r="J4" s="255" t="s">
        <v>218</v>
      </c>
      <c r="K4" s="116" t="s">
        <v>172</v>
      </c>
      <c r="L4" s="121" t="s">
        <v>171</v>
      </c>
      <c r="M4" s="216"/>
      <c r="N4" s="235" t="s">
        <v>194</v>
      </c>
      <c r="O4" s="252" t="s">
        <v>136</v>
      </c>
      <c r="P4" s="218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51"/>
      <c r="I5" s="253"/>
      <c r="J5" s="256"/>
      <c r="K5" s="221" t="s">
        <v>188</v>
      </c>
      <c r="L5" s="222"/>
      <c r="M5" s="217"/>
      <c r="N5" s="236"/>
      <c r="O5" s="253"/>
      <c r="P5" s="218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31"/>
      <c r="H102" s="231"/>
      <c r="I102" s="231"/>
      <c r="J102" s="23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2"/>
      <c r="O103" s="232"/>
    </row>
    <row r="104" spans="3:15" ht="15.75">
      <c r="C104" s="111">
        <v>42033</v>
      </c>
      <c r="D104" s="34">
        <v>2896.5</v>
      </c>
      <c r="F104" s="155" t="s">
        <v>166</v>
      </c>
      <c r="G104" s="238" t="s">
        <v>151</v>
      </c>
      <c r="H104" s="238"/>
      <c r="I104" s="106">
        <f>'січень '!I139</f>
        <v>8909.733</v>
      </c>
      <c r="J104" s="254" t="s">
        <v>161</v>
      </c>
      <c r="K104" s="254"/>
      <c r="L104" s="254"/>
      <c r="M104" s="254"/>
      <c r="N104" s="232"/>
      <c r="O104" s="232"/>
    </row>
    <row r="105" spans="3:15" ht="15.75">
      <c r="C105" s="111">
        <v>42032</v>
      </c>
      <c r="D105" s="34">
        <v>2838.1</v>
      </c>
      <c r="G105" s="249" t="s">
        <v>155</v>
      </c>
      <c r="H105" s="249"/>
      <c r="I105" s="103">
        <f>'січень '!I140</f>
        <v>0</v>
      </c>
      <c r="J105" s="257" t="s">
        <v>162</v>
      </c>
      <c r="K105" s="257"/>
      <c r="L105" s="257"/>
      <c r="M105" s="257"/>
      <c r="N105" s="232"/>
      <c r="O105" s="232"/>
    </row>
    <row r="106" spans="7:13" ht="15.75" customHeight="1">
      <c r="G106" s="238" t="s">
        <v>148</v>
      </c>
      <c r="H106" s="238"/>
      <c r="I106" s="103">
        <f>'січень '!I141</f>
        <v>0</v>
      </c>
      <c r="J106" s="254" t="s">
        <v>163</v>
      </c>
      <c r="K106" s="254"/>
      <c r="L106" s="254"/>
      <c r="M106" s="254"/>
    </row>
    <row r="107" spans="2:13" ht="18.75" customHeight="1">
      <c r="B107" s="242" t="s">
        <v>160</v>
      </c>
      <c r="C107" s="243"/>
      <c r="D107" s="108">
        <f>'січень '!D142</f>
        <v>132375.63</v>
      </c>
      <c r="E107" s="73"/>
      <c r="F107" s="156" t="s">
        <v>147</v>
      </c>
      <c r="G107" s="238" t="s">
        <v>149</v>
      </c>
      <c r="H107" s="238"/>
      <c r="I107" s="107">
        <f>'січень '!I142</f>
        <v>123465.893</v>
      </c>
      <c r="J107" s="254" t="s">
        <v>164</v>
      </c>
      <c r="K107" s="254"/>
      <c r="L107" s="254"/>
      <c r="M107" s="254"/>
    </row>
    <row r="108" spans="7:12" ht="9.75" customHeight="1">
      <c r="G108" s="233"/>
      <c r="H108" s="233"/>
      <c r="I108" s="90"/>
      <c r="J108" s="91"/>
      <c r="K108" s="91"/>
      <c r="L108" s="91"/>
    </row>
    <row r="109" spans="2:12" ht="22.5" customHeight="1" hidden="1">
      <c r="B109" s="244" t="s">
        <v>167</v>
      </c>
      <c r="C109" s="245"/>
      <c r="D109" s="110">
        <v>0</v>
      </c>
      <c r="E109" s="70" t="s">
        <v>104</v>
      </c>
      <c r="G109" s="233"/>
      <c r="H109" s="233"/>
      <c r="I109" s="90"/>
      <c r="J109" s="91"/>
      <c r="K109" s="91"/>
      <c r="L109" s="91"/>
    </row>
    <row r="110" spans="4:15" ht="15.75">
      <c r="D110" s="105"/>
      <c r="N110" s="233"/>
      <c r="O110" s="233"/>
    </row>
    <row r="111" spans="4:15" ht="15.75">
      <c r="D111" s="104"/>
      <c r="I111" s="34"/>
      <c r="N111" s="246"/>
      <c r="O111" s="246"/>
    </row>
    <row r="112" spans="14:15" ht="15.75">
      <c r="N112" s="233"/>
      <c r="O112" s="233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05" t="s">
        <v>193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203</v>
      </c>
      <c r="C3" s="210" t="s">
        <v>0</v>
      </c>
      <c r="D3" s="211" t="s">
        <v>190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187</v>
      </c>
      <c r="N3" s="218" t="s">
        <v>175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153</v>
      </c>
      <c r="F4" s="223" t="s">
        <v>116</v>
      </c>
      <c r="G4" s="225" t="s">
        <v>173</v>
      </c>
      <c r="H4" s="250" t="s">
        <v>174</v>
      </c>
      <c r="I4" s="252" t="s">
        <v>186</v>
      </c>
      <c r="J4" s="255" t="s">
        <v>189</v>
      </c>
      <c r="K4" s="116" t="s">
        <v>172</v>
      </c>
      <c r="L4" s="121" t="s">
        <v>171</v>
      </c>
      <c r="M4" s="216"/>
      <c r="N4" s="235" t="s">
        <v>194</v>
      </c>
      <c r="O4" s="252" t="s">
        <v>136</v>
      </c>
      <c r="P4" s="218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51"/>
      <c r="I5" s="253"/>
      <c r="J5" s="256"/>
      <c r="K5" s="221" t="s">
        <v>188</v>
      </c>
      <c r="L5" s="222"/>
      <c r="M5" s="217"/>
      <c r="N5" s="236"/>
      <c r="O5" s="253"/>
      <c r="P5" s="218"/>
      <c r="Q5" s="221" t="s">
        <v>176</v>
      </c>
      <c r="R5" s="222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31"/>
      <c r="H137" s="231"/>
      <c r="I137" s="231"/>
      <c r="J137" s="23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2"/>
      <c r="O138" s="232"/>
    </row>
    <row r="139" spans="3:15" ht="15.75">
      <c r="C139" s="111">
        <v>42033</v>
      </c>
      <c r="D139" s="34">
        <v>2896.5</v>
      </c>
      <c r="F139" s="155" t="s">
        <v>166</v>
      </c>
      <c r="G139" s="238" t="s">
        <v>151</v>
      </c>
      <c r="H139" s="238"/>
      <c r="I139" s="106">
        <f>8909.733</f>
        <v>8909.733</v>
      </c>
      <c r="J139" s="254" t="s">
        <v>161</v>
      </c>
      <c r="K139" s="254"/>
      <c r="L139" s="254"/>
      <c r="M139" s="254"/>
      <c r="N139" s="232"/>
      <c r="O139" s="232"/>
    </row>
    <row r="140" spans="3:15" ht="15.75">
      <c r="C140" s="111">
        <v>42032</v>
      </c>
      <c r="D140" s="34">
        <v>2838.1</v>
      </c>
      <c r="G140" s="249" t="s">
        <v>155</v>
      </c>
      <c r="H140" s="249"/>
      <c r="I140" s="103">
        <v>0</v>
      </c>
      <c r="J140" s="257" t="s">
        <v>162</v>
      </c>
      <c r="K140" s="257"/>
      <c r="L140" s="257"/>
      <c r="M140" s="257"/>
      <c r="N140" s="232"/>
      <c r="O140" s="232"/>
    </row>
    <row r="141" spans="7:13" ht="15.75" customHeight="1">
      <c r="G141" s="238" t="s">
        <v>148</v>
      </c>
      <c r="H141" s="238"/>
      <c r="I141" s="103">
        <v>0</v>
      </c>
      <c r="J141" s="254" t="s">
        <v>163</v>
      </c>
      <c r="K141" s="254"/>
      <c r="L141" s="254"/>
      <c r="M141" s="254"/>
    </row>
    <row r="142" spans="2:13" ht="18.75" customHeight="1">
      <c r="B142" s="242" t="s">
        <v>160</v>
      </c>
      <c r="C142" s="243"/>
      <c r="D142" s="108">
        <f>132375.63</f>
        <v>132375.63</v>
      </c>
      <c r="E142" s="73"/>
      <c r="F142" s="156" t="s">
        <v>147</v>
      </c>
      <c r="G142" s="238" t="s">
        <v>149</v>
      </c>
      <c r="H142" s="238"/>
      <c r="I142" s="107">
        <f>123465.893</f>
        <v>123465.893</v>
      </c>
      <c r="J142" s="254" t="s">
        <v>164</v>
      </c>
      <c r="K142" s="254"/>
      <c r="L142" s="254"/>
      <c r="M142" s="254"/>
    </row>
    <row r="143" spans="7:12" ht="9.75" customHeight="1">
      <c r="G143" s="233"/>
      <c r="H143" s="233"/>
      <c r="I143" s="90"/>
      <c r="J143" s="91"/>
      <c r="K143" s="91"/>
      <c r="L143" s="91"/>
    </row>
    <row r="144" spans="2:12" ht="22.5" customHeight="1" hidden="1">
      <c r="B144" s="244" t="s">
        <v>167</v>
      </c>
      <c r="C144" s="245"/>
      <c r="D144" s="110">
        <v>0</v>
      </c>
      <c r="E144" s="70" t="s">
        <v>104</v>
      </c>
      <c r="G144" s="233"/>
      <c r="H144" s="233"/>
      <c r="I144" s="90"/>
      <c r="J144" s="91"/>
      <c r="K144" s="91"/>
      <c r="L144" s="91"/>
    </row>
    <row r="145" spans="4:15" ht="15.75">
      <c r="D145" s="105"/>
      <c r="N145" s="233"/>
      <c r="O145" s="233"/>
    </row>
    <row r="146" spans="4:15" ht="15.75">
      <c r="D146" s="104"/>
      <c r="I146" s="34"/>
      <c r="N146" s="246"/>
      <c r="O146" s="246"/>
    </row>
    <row r="147" spans="14:15" ht="15.75">
      <c r="N147" s="233"/>
      <c r="O147" s="233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2015-05-27T08:37:35Z</cp:lastPrinted>
  <dcterms:created xsi:type="dcterms:W3CDTF">2003-07-28T11:27:56Z</dcterms:created>
  <dcterms:modified xsi:type="dcterms:W3CDTF">2015-05-28T12:20:29Z</dcterms:modified>
  <cp:category/>
  <cp:version/>
  <cp:contentType/>
  <cp:contentStatus/>
</cp:coreProperties>
</file>